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Technisch\Berekening positie gaten muur ALG-AERO\"/>
    </mc:Choice>
  </mc:AlternateContent>
  <bookViews>
    <workbookView xWindow="0" yWindow="0" windowWidth="28800" windowHeight="12225"/>
  </bookViews>
  <sheets>
    <sheet name="NL" sheetId="1" r:id="rId1"/>
  </sheets>
  <functionGroups builtInGroupCount="18"/>
  <definedNames>
    <definedName name="Pivot">NL!$E$4</definedName>
    <definedName name="SPAN">NL!$H$4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J19" i="1"/>
  <c r="J20" i="1"/>
  <c r="G20" i="1" l="1"/>
  <c r="G19" i="1"/>
  <c r="I31" i="1"/>
  <c r="I28" i="1"/>
  <c r="G31" i="1"/>
  <c r="J31" i="1"/>
  <c r="G28" i="1"/>
  <c r="H7" i="1"/>
  <c r="G21" i="1"/>
  <c r="G18" i="1"/>
  <c r="E7" i="1"/>
  <c r="J30" i="1"/>
  <c r="G30" i="1" l="1"/>
  <c r="I30" i="1"/>
  <c r="I29" i="1"/>
  <c r="J29" i="1"/>
  <c r="G29" i="1" l="1"/>
  <c r="H8" i="1" l="1"/>
  <c r="E8" i="1"/>
  <c r="I21" i="1" l="1"/>
  <c r="I18" i="1"/>
  <c r="E9" i="1"/>
  <c r="E10" i="1" s="1"/>
  <c r="H47" i="1" s="1"/>
  <c r="I52" i="1"/>
  <c r="I50" i="1"/>
  <c r="H49" i="1" l="1"/>
  <c r="I19" i="1"/>
  <c r="I20" i="1"/>
  <c r="H52" i="1"/>
  <c r="I49" i="1"/>
  <c r="I51" i="1"/>
  <c r="I48" i="1"/>
  <c r="H51" i="1" l="1"/>
  <c r="H48" i="1"/>
  <c r="H50" i="1"/>
</calcChain>
</file>

<file path=xl/sharedStrings.xml><?xml version="1.0" encoding="utf-8"?>
<sst xmlns="http://schemas.openxmlformats.org/spreadsheetml/2006/main" count="52" uniqueCount="32">
  <si>
    <t>Pivot</t>
  </si>
  <si>
    <t>Aantal lamellen</t>
  </si>
  <si>
    <t>Restlengte</t>
  </si>
  <si>
    <t>lamel gat 1</t>
  </si>
  <si>
    <t>lamelgat</t>
  </si>
  <si>
    <t>Aantal gaten pivot</t>
  </si>
  <si>
    <t>Aantal gaten Span</t>
  </si>
  <si>
    <t>X1</t>
  </si>
  <si>
    <t>X2</t>
  </si>
  <si>
    <t>X4</t>
  </si>
  <si>
    <t>X3</t>
  </si>
  <si>
    <t>gat verlaging</t>
  </si>
  <si>
    <t xml:space="preserve">Afwatering naar </t>
  </si>
  <si>
    <t>P1</t>
  </si>
  <si>
    <t>P2</t>
  </si>
  <si>
    <t>afmeting overkapping</t>
  </si>
  <si>
    <t>specificaties</t>
  </si>
  <si>
    <t>mm</t>
  </si>
  <si>
    <t>Bevestigingsgaten in de muur</t>
  </si>
  <si>
    <t>S1</t>
  </si>
  <si>
    <t>Span</t>
  </si>
  <si>
    <t>Y1</t>
  </si>
  <si>
    <t>Y2</t>
  </si>
  <si>
    <t>Y3</t>
  </si>
  <si>
    <t>Y4</t>
  </si>
  <si>
    <t>Algarve/ Aero - aanbouw / Berekening positie bevestigingsgaten</t>
  </si>
  <si>
    <t>X5</t>
  </si>
  <si>
    <t>X6</t>
  </si>
  <si>
    <t xml:space="preserve"> P1 + P2</t>
  </si>
  <si>
    <t>S2</t>
  </si>
  <si>
    <t>per stap of mm</t>
  </si>
  <si>
    <t>stap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</si>
</sst>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1" fillId="2" borderId="0" xfId="1" applyBorder="1" applyAlignment="1" applyProtection="1">
      <alignment horizontal="right"/>
      <protection locked="0"/>
    </xf>
    <xf numFmtId="0" fontId="7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5" fillId="0" borderId="1" xfId="0" applyFont="1" applyBorder="1" applyProtection="1"/>
    <xf numFmtId="0" fontId="2" fillId="0" borderId="2" xfId="2" applyFill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7" xfId="1" applyFill="1" applyBorder="1" applyProtection="1"/>
    <xf numFmtId="0" fontId="0" fillId="0" borderId="7" xfId="0" applyFill="1" applyBorder="1" applyProtection="1"/>
    <xf numFmtId="0" fontId="0" fillId="0" borderId="8" xfId="0" applyBorder="1" applyProtection="1"/>
    <xf numFmtId="0" fontId="1" fillId="0" borderId="2" xfId="1" applyFill="1" applyBorder="1" applyProtection="1"/>
    <xf numFmtId="0" fontId="0" fillId="0" borderId="2" xfId="0" applyFill="1" applyBorder="1" applyProtection="1"/>
    <xf numFmtId="0" fontId="6" fillId="4" borderId="2" xfId="2" applyFont="1" applyFill="1" applyBorder="1" applyProtection="1"/>
    <xf numFmtId="0" fontId="6" fillId="4" borderId="0" xfId="2" applyFont="1" applyFill="1" applyBorder="1" applyProtection="1"/>
    <xf numFmtId="0" fontId="0" fillId="4" borderId="0" xfId="0" applyFill="1" applyBorder="1" applyProtection="1"/>
    <xf numFmtId="0" fontId="4" fillId="0" borderId="7" xfId="0" applyFont="1" applyBorder="1" applyProtection="1"/>
    <xf numFmtId="0" fontId="5" fillId="0" borderId="0" xfId="0" applyFont="1" applyProtection="1"/>
    <xf numFmtId="0" fontId="3" fillId="4" borderId="9" xfId="0" applyFont="1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1" fillId="4" borderId="0" xfId="1" applyFill="1" applyProtection="1"/>
    <xf numFmtId="0" fontId="4" fillId="0" borderId="0" xfId="0" applyFont="1" applyProtection="1"/>
    <xf numFmtId="0" fontId="1" fillId="0" borderId="0" xfId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2" borderId="2" xfId="1" applyBorder="1" applyAlignment="1" applyProtection="1">
      <alignment horizontal="right"/>
      <protection locked="0"/>
    </xf>
    <xf numFmtId="0" fontId="1" fillId="2" borderId="0" xfId="1" applyBorder="1" applyProtection="1">
      <protection locked="0"/>
    </xf>
  </cellXfs>
  <cellStyles count="3">
    <cellStyle name="Goed" xfId="1" builtinId="26"/>
    <cellStyle name="Neutraal" xfId="2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114300</xdr:rowOff>
    </xdr:from>
    <xdr:to>
      <xdr:col>4</xdr:col>
      <xdr:colOff>749820</xdr:colOff>
      <xdr:row>22</xdr:row>
      <xdr:rowOff>28575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60D061B-D520-471C-BA11-204D05E42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102620" cy="1438275"/>
        </a:xfrm>
        <a:prstGeom prst="rect">
          <a:avLst/>
        </a:prstGeom>
      </xdr:spPr>
    </xdr:pic>
    <xdr:clientData/>
  </xdr:twoCellAnchor>
  <xdr:twoCellAnchor editAs="oneCell">
    <xdr:from>
      <xdr:col>0</xdr:col>
      <xdr:colOff>26254</xdr:colOff>
      <xdr:row>25</xdr:row>
      <xdr:rowOff>1</xdr:rowOff>
    </xdr:from>
    <xdr:to>
      <xdr:col>4</xdr:col>
      <xdr:colOff>769083</xdr:colOff>
      <xdr:row>32</xdr:row>
      <xdr:rowOff>152401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9660652-66A9-467D-850A-1D119B29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54" y="4953001"/>
          <a:ext cx="4095629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49</xdr:row>
      <xdr:rowOff>123826</xdr:rowOff>
    </xdr:from>
    <xdr:to>
      <xdr:col>6</xdr:col>
      <xdr:colOff>108473</xdr:colOff>
      <xdr:row>57</xdr:row>
      <xdr:rowOff>180976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5AC8449-85C9-42B3-9F9E-7BB2B344D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9153526"/>
          <a:ext cx="4966223" cy="15811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35</xdr:row>
      <xdr:rowOff>171450</xdr:rowOff>
    </xdr:from>
    <xdr:to>
      <xdr:col>5</xdr:col>
      <xdr:colOff>809626</xdr:colOff>
      <xdr:row>46</xdr:row>
      <xdr:rowOff>151398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C433A37-8D50-4453-980E-84D710D45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6" y="6915150"/>
          <a:ext cx="4953000" cy="169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4"/>
  <sheetViews>
    <sheetView tabSelected="1" workbookViewId="0">
      <selection activeCell="E5" sqref="E5"/>
    </sheetView>
  </sheetViews>
  <sheetFormatPr defaultRowHeight="15" x14ac:dyDescent="0.25"/>
  <cols>
    <col min="1" max="12" width="12.5703125" style="3" customWidth="1"/>
    <col min="13" max="16384" width="9.140625" style="3"/>
  </cols>
  <sheetData>
    <row r="1" spans="1:9" ht="21" x14ac:dyDescent="0.35">
      <c r="A1" s="2" t="s">
        <v>25</v>
      </c>
    </row>
    <row r="2" spans="1:9" x14ac:dyDescent="0.25">
      <c r="A2" s="4"/>
    </row>
    <row r="3" spans="1:9" x14ac:dyDescent="0.25">
      <c r="A3" s="5" t="s">
        <v>15</v>
      </c>
      <c r="B3" s="6"/>
      <c r="C3" s="7"/>
      <c r="D3" s="8" t="s">
        <v>30</v>
      </c>
      <c r="E3" s="38" t="s">
        <v>31</v>
      </c>
      <c r="F3" s="7"/>
      <c r="G3" s="7"/>
      <c r="H3" s="8" t="s">
        <v>17</v>
      </c>
      <c r="I3" s="9"/>
    </row>
    <row r="4" spans="1:9" x14ac:dyDescent="0.25">
      <c r="A4" s="10"/>
      <c r="B4" s="11"/>
      <c r="C4" s="11"/>
      <c r="D4" s="12" t="s">
        <v>0</v>
      </c>
      <c r="E4" s="39">
        <v>5000</v>
      </c>
      <c r="F4" s="11"/>
      <c r="G4" s="12" t="s">
        <v>20</v>
      </c>
      <c r="H4" s="39">
        <v>3000</v>
      </c>
      <c r="I4" s="13"/>
    </row>
    <row r="5" spans="1:9" ht="8.25" customHeight="1" x14ac:dyDescent="0.25">
      <c r="A5" s="14"/>
      <c r="B5" s="15"/>
      <c r="C5" s="15"/>
      <c r="D5" s="15"/>
      <c r="E5" s="16"/>
      <c r="F5" s="17"/>
      <c r="G5" s="17"/>
      <c r="H5" s="16"/>
      <c r="I5" s="18"/>
    </row>
    <row r="6" spans="1:9" ht="9.75" customHeight="1" x14ac:dyDescent="0.25"/>
    <row r="7" spans="1:9" x14ac:dyDescent="0.25">
      <c r="A7" s="5" t="s">
        <v>16</v>
      </c>
      <c r="B7" s="19"/>
      <c r="C7" s="20"/>
      <c r="D7" s="8" t="s">
        <v>5</v>
      </c>
      <c r="E7" s="21">
        <f>IF(Pivot&lt;=5000,ROUNDUP(Pivot/1000,0),6)</f>
        <v>5</v>
      </c>
      <c r="F7" s="7"/>
      <c r="G7" s="8" t="s">
        <v>6</v>
      </c>
      <c r="H7" s="21">
        <f>IF(SPAN&lt;=4000,ROUNDUP(SPAN/1000,0),4)</f>
        <v>3</v>
      </c>
      <c r="I7" s="9"/>
    </row>
    <row r="8" spans="1:9" x14ac:dyDescent="0.25">
      <c r="A8" s="10"/>
      <c r="B8" s="11"/>
      <c r="C8" s="11"/>
      <c r="D8" s="12" t="s">
        <v>1</v>
      </c>
      <c r="E8" s="22">
        <f>IF(E3="stap",bankersround((Pivot-245)/215,0),ROUNDDOWN((Pivot-306)/215,0))</f>
        <v>22</v>
      </c>
      <c r="F8" s="11"/>
      <c r="G8" s="12" t="s">
        <v>11</v>
      </c>
      <c r="H8" s="23">
        <f>IF(E3="mm",15.5,0)</f>
        <v>0</v>
      </c>
      <c r="I8" s="13"/>
    </row>
    <row r="9" spans="1:9" x14ac:dyDescent="0.25">
      <c r="A9" s="10"/>
      <c r="B9" s="11"/>
      <c r="C9" s="11"/>
      <c r="D9" s="12" t="s">
        <v>2</v>
      </c>
      <c r="E9" s="23">
        <f>IF(E3="stap",0,(Pivot-(E8-1)*215-80-130)/2)</f>
        <v>0</v>
      </c>
      <c r="F9" s="11"/>
      <c r="G9" s="12" t="s">
        <v>12</v>
      </c>
      <c r="H9" s="1" t="s">
        <v>13</v>
      </c>
      <c r="I9" s="13"/>
    </row>
    <row r="10" spans="1:9" ht="8.25" customHeight="1" x14ac:dyDescent="0.25">
      <c r="A10" s="14"/>
      <c r="B10" s="15"/>
      <c r="C10" s="15"/>
      <c r="D10" s="24" t="s">
        <v>3</v>
      </c>
      <c r="E10" s="24">
        <f>IF(E3="mm",E9+40+128.6,70+186.5+40)</f>
        <v>296.5</v>
      </c>
      <c r="F10" s="15"/>
      <c r="G10" s="15"/>
      <c r="H10" s="15"/>
      <c r="I10" s="18"/>
    </row>
    <row r="12" spans="1:9" x14ac:dyDescent="0.25">
      <c r="A12" s="25" t="s">
        <v>18</v>
      </c>
    </row>
    <row r="13" spans="1:9" ht="7.5" customHeight="1" x14ac:dyDescent="0.25"/>
    <row r="14" spans="1:9" x14ac:dyDescent="0.25">
      <c r="A14" s="26" t="s">
        <v>19</v>
      </c>
      <c r="B14" s="27"/>
      <c r="C14" s="27"/>
      <c r="D14" s="27"/>
      <c r="E14" s="27"/>
      <c r="F14" s="27"/>
      <c r="G14" s="27"/>
      <c r="H14" s="27"/>
      <c r="I14" s="28"/>
    </row>
    <row r="17" spans="1:10" x14ac:dyDescent="0.25">
      <c r="G17" s="29" t="s">
        <v>17</v>
      </c>
      <c r="I17" s="29" t="s">
        <v>17</v>
      </c>
      <c r="J17" s="30"/>
    </row>
    <row r="18" spans="1:10" x14ac:dyDescent="0.25">
      <c r="F18" s="29" t="s">
        <v>7</v>
      </c>
      <c r="G18" s="31">
        <f>150+110</f>
        <v>260</v>
      </c>
      <c r="H18" s="29" t="s">
        <v>21</v>
      </c>
      <c r="I18" s="31">
        <f>IF($H$9="P1",50+$H$8,30+$H$8)</f>
        <v>50</v>
      </c>
      <c r="J18" s="32">
        <v>150</v>
      </c>
    </row>
    <row r="19" spans="1:10" x14ac:dyDescent="0.25">
      <c r="F19" s="29" t="s">
        <v>8</v>
      </c>
      <c r="G19" s="31">
        <f>IF(SPAN&lt;=2000,0,IF(SPAN&lt;=3000,J19+110,IF(SPAN&lt;=4500,J19+110,0)))</f>
        <v>1500</v>
      </c>
      <c r="H19" s="29" t="s">
        <v>22</v>
      </c>
      <c r="I19" s="31">
        <f>IF(SPAN&lt;=3000,0,IF(I21&gt;I18,37+$H$8,43+$H$8))</f>
        <v>0</v>
      </c>
      <c r="J19" s="32">
        <f>IF(SPAN&lt;=2000,0,IF(SPAN&lt;=3000,bankersround(J18+(J21-J18)/2,1),IF(SPAN&lt;=4500,bankersround(J18+(J21-J18)/3,1),0)))</f>
        <v>1390</v>
      </c>
    </row>
    <row r="20" spans="1:10" x14ac:dyDescent="0.25">
      <c r="F20" s="29" t="s">
        <v>10</v>
      </c>
      <c r="G20" s="31">
        <f>IF(SPAN&lt;=3000,0,J20+110)</f>
        <v>0</v>
      </c>
      <c r="H20" s="29" t="s">
        <v>23</v>
      </c>
      <c r="I20" s="31">
        <f>IF(SPAN&lt;=2000,0,IF(SPAN&lt;=3000,40+$H$8,IF(I21&gt;I18,43+$H$8,37+$H$8)))</f>
        <v>40</v>
      </c>
      <c r="J20" s="32">
        <f>IF(SPAN&lt;=3000,0,bankersround(J18+(J21-J18)*(2/3),1))</f>
        <v>0</v>
      </c>
    </row>
    <row r="21" spans="1:10" x14ac:dyDescent="0.25">
      <c r="F21" s="29" t="s">
        <v>9</v>
      </c>
      <c r="G21" s="31">
        <f>(SPAN-150-110)</f>
        <v>2740</v>
      </c>
      <c r="H21" s="29" t="s">
        <v>24</v>
      </c>
      <c r="I21" s="31">
        <f>IF($H$9="P1",30+$H$8,50+$H$8)</f>
        <v>30</v>
      </c>
      <c r="J21" s="32">
        <f>SPAN-J18-2*110</f>
        <v>2630</v>
      </c>
    </row>
    <row r="22" spans="1:10" x14ac:dyDescent="0.25">
      <c r="F22" s="29"/>
      <c r="G22" s="33"/>
      <c r="H22" s="34"/>
      <c r="I22" s="34"/>
      <c r="J22" s="33"/>
    </row>
    <row r="24" spans="1:10" x14ac:dyDescent="0.25">
      <c r="A24" s="26" t="s">
        <v>29</v>
      </c>
      <c r="B24" s="27"/>
      <c r="C24" s="27"/>
      <c r="D24" s="27"/>
      <c r="E24" s="27"/>
      <c r="F24" s="27"/>
      <c r="G24" s="27"/>
      <c r="H24" s="27"/>
      <c r="I24" s="28"/>
    </row>
    <row r="27" spans="1:10" x14ac:dyDescent="0.25">
      <c r="G27" s="29" t="s">
        <v>17</v>
      </c>
      <c r="I27" s="29" t="s">
        <v>17</v>
      </c>
    </row>
    <row r="28" spans="1:10" x14ac:dyDescent="0.25">
      <c r="F28" s="29" t="s">
        <v>7</v>
      </c>
      <c r="G28" s="31">
        <f>150+110</f>
        <v>260</v>
      </c>
      <c r="H28" s="29" t="s">
        <v>21</v>
      </c>
      <c r="I28" s="31">
        <f>IF($H$9="P2",30,50)</f>
        <v>50</v>
      </c>
      <c r="J28" s="32">
        <v>150</v>
      </c>
    </row>
    <row r="29" spans="1:10" x14ac:dyDescent="0.25">
      <c r="F29" s="29" t="s">
        <v>8</v>
      </c>
      <c r="G29" s="31">
        <f>IF(SPAN&lt;=2000,0,IF(SPAN&lt;=3000,J29+110,IF(SPAN&lt;=4500,J29+110,0)))</f>
        <v>1500</v>
      </c>
      <c r="H29" s="29" t="s">
        <v>22</v>
      </c>
      <c r="I29" s="31">
        <f>IF(SPAN&lt;=2000,0,IF(SPAN&lt;=3000,40,IF(I28&gt;I31,43,37)))</f>
        <v>40</v>
      </c>
      <c r="J29" s="32">
        <f>IF(SPAN&lt;=2000,0,IF(SPAN&lt;=3000,bankersround(J28+(J31-J28)/2,1),IF(SPAN&lt;=4500,bankersround(J28+(J31-J28)/3,1),0)))</f>
        <v>1390</v>
      </c>
    </row>
    <row r="30" spans="1:10" x14ac:dyDescent="0.25">
      <c r="F30" s="29" t="s">
        <v>10</v>
      </c>
      <c r="G30" s="31">
        <f>IF(SPAN&lt;=3000,0,J30+110)</f>
        <v>0</v>
      </c>
      <c r="H30" s="29" t="s">
        <v>23</v>
      </c>
      <c r="I30" s="31">
        <f>IF(SPAN&lt;=3000,0,IF(I28&gt;I31,37,43))</f>
        <v>0</v>
      </c>
      <c r="J30" s="32">
        <f>IF(SPAN&lt;=3000,0,bankersround(J28+(J31-J28)*(2/3),1))</f>
        <v>0</v>
      </c>
    </row>
    <row r="31" spans="1:10" x14ac:dyDescent="0.25">
      <c r="F31" s="29" t="s">
        <v>9</v>
      </c>
      <c r="G31" s="31">
        <f>(SPAN-150-110)</f>
        <v>2740</v>
      </c>
      <c r="H31" s="29" t="s">
        <v>24</v>
      </c>
      <c r="I31" s="31">
        <f>IF($H$9="P2",50,30)</f>
        <v>30</v>
      </c>
      <c r="J31" s="32">
        <f>SPAN-J28-2*110</f>
        <v>2630</v>
      </c>
    </row>
    <row r="35" spans="1:11" x14ac:dyDescent="0.25">
      <c r="A35" s="26" t="s">
        <v>13</v>
      </c>
      <c r="B35" s="27"/>
      <c r="C35" s="27"/>
      <c r="D35" s="27"/>
      <c r="E35" s="27"/>
      <c r="F35" s="28"/>
      <c r="G35" s="35"/>
      <c r="H35" s="35"/>
      <c r="I35" s="35"/>
    </row>
    <row r="38" spans="1:11" hidden="1" x14ac:dyDescent="0.25">
      <c r="A38" s="3" t="s">
        <v>13</v>
      </c>
    </row>
    <row r="39" spans="1:11" hidden="1" x14ac:dyDescent="0.25">
      <c r="A39" s="3" t="s">
        <v>14</v>
      </c>
    </row>
    <row r="44" spans="1:11" x14ac:dyDescent="0.25">
      <c r="H44" s="26" t="s">
        <v>28</v>
      </c>
      <c r="I44" s="28"/>
    </row>
    <row r="46" spans="1:11" x14ac:dyDescent="0.25">
      <c r="H46" s="29" t="s">
        <v>17</v>
      </c>
      <c r="I46" s="36" t="s">
        <v>4</v>
      </c>
      <c r="J46" s="34"/>
      <c r="K46" s="34"/>
    </row>
    <row r="47" spans="1:11" x14ac:dyDescent="0.25">
      <c r="G47" s="29" t="s">
        <v>7</v>
      </c>
      <c r="H47" s="31">
        <f>E10+(I47-1)*215</f>
        <v>511.5</v>
      </c>
      <c r="I47" s="37">
        <v>2</v>
      </c>
      <c r="J47" s="33"/>
      <c r="K47" s="34"/>
    </row>
    <row r="48" spans="1:11" x14ac:dyDescent="0.25">
      <c r="G48" s="29" t="s">
        <v>8</v>
      </c>
      <c r="H48" s="31">
        <f>IF(I51=0,0,E10+(E8-I51)*215)</f>
        <v>0</v>
      </c>
      <c r="I48" s="37">
        <f>IF(E7&lt;=2,0,IF(E7&lt;=3,I47+bankersround((I52-I47)/2,0),IF(E7&lt;=4,I47+bankersround((I52-I47)*(1/3),0),IF(E7&lt;=5,I47+bankersround((I52-I47)*(1/4),0),IF(E7&lt;=6,I47+bankersround((I52-I47)*(1/5),0),0)))))</f>
        <v>7</v>
      </c>
      <c r="J48" s="33"/>
      <c r="K48" s="34"/>
    </row>
    <row r="49" spans="1:11" x14ac:dyDescent="0.25">
      <c r="A49" s="26" t="s">
        <v>14</v>
      </c>
      <c r="B49" s="27"/>
      <c r="C49" s="27"/>
      <c r="D49" s="27"/>
      <c r="E49" s="27"/>
      <c r="F49" s="28"/>
      <c r="G49" s="29" t="s">
        <v>10</v>
      </c>
      <c r="H49" s="31">
        <f>IF(I50=0,0,E10+((E8-I50)*215))</f>
        <v>1586.5</v>
      </c>
      <c r="I49" s="37">
        <f>IF(E7&lt;=3,0,IF(E7&lt;=4,I47+bankersround((I52-I47)*(2/3),0),IF(E7&lt;=5,I47+bankersround((I52-I47)*(2/4),0),IF(E7&lt;=6,I47+bankersround((I52-I47)*(2/5),0),0))))</f>
        <v>12</v>
      </c>
      <c r="J49" s="33"/>
      <c r="K49" s="34"/>
    </row>
    <row r="50" spans="1:11" x14ac:dyDescent="0.25">
      <c r="G50" s="29" t="s">
        <v>9</v>
      </c>
      <c r="H50" s="31">
        <f>IF(I49=0,0,E10+((E8-I49)*215))</f>
        <v>2446.5</v>
      </c>
      <c r="I50" s="37">
        <f>IF(E7&lt;=3,0,IF(E7&lt;=4,0,IF(E7&lt;=5,I47+bankersround((I52-I47)*(3/4),0),IF(E7&lt;=6,I47+bankersround((I52-I47)*(3/5),0),0))))</f>
        <v>16</v>
      </c>
      <c r="J50" s="33"/>
      <c r="K50" s="34"/>
    </row>
    <row r="51" spans="1:11" x14ac:dyDescent="0.25">
      <c r="G51" s="29" t="s">
        <v>26</v>
      </c>
      <c r="H51" s="31">
        <f>IF(I48=0,0,E10+((E8-I48))*215)</f>
        <v>3521.5</v>
      </c>
      <c r="I51" s="37">
        <f>IF(E7&lt;=5,0,I47+bankersround((I52-I47)*(4/5),0))</f>
        <v>0</v>
      </c>
      <c r="J51" s="33"/>
      <c r="K51" s="34"/>
    </row>
    <row r="52" spans="1:11" x14ac:dyDescent="0.25">
      <c r="G52" s="29" t="s">
        <v>27</v>
      </c>
      <c r="H52" s="31">
        <f>E10+(I52-1)*215</f>
        <v>4596.5</v>
      </c>
      <c r="I52" s="37">
        <f>E8-1</f>
        <v>21</v>
      </c>
      <c r="J52" s="33"/>
      <c r="K52" s="34"/>
    </row>
    <row r="53" spans="1:11" x14ac:dyDescent="0.25">
      <c r="J53" s="34"/>
      <c r="K53" s="34"/>
    </row>
    <row r="54" spans="1:11" x14ac:dyDescent="0.25">
      <c r="J54" s="34"/>
      <c r="K54" s="34"/>
    </row>
  </sheetData>
  <sheetProtection sheet="1" objects="1" scenarios="1"/>
  <dataValidations count="2">
    <dataValidation type="list" allowBlank="1" showInputMessage="1" showErrorMessage="1" sqref="H9">
      <formula1>$A$38:$A$39</formula1>
    </dataValidation>
    <dataValidation type="list" allowBlank="1" showInputMessage="1" showErrorMessage="1" sqref="E3">
      <formula1>"mm,stap"</formula1>
    </dataValidation>
  </dataValidations>
  <pageMargins left="0.51181102362204722" right="0.5118110236220472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NL</vt:lpstr>
      <vt:lpstr>Pivot</vt:lpstr>
      <vt:lpstr>SPAN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De Meulemeester</dc:creator>
  <cp:lastModifiedBy>Kurt Godefroid</cp:lastModifiedBy>
  <cp:lastPrinted>2019-03-15T14:16:59Z</cp:lastPrinted>
  <dcterms:created xsi:type="dcterms:W3CDTF">2019-03-11T14:23:43Z</dcterms:created>
  <dcterms:modified xsi:type="dcterms:W3CDTF">2019-04-04T14:15:20Z</dcterms:modified>
</cp:coreProperties>
</file>